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fs01\pb$\Communications\Nazarene Benefits USA\GBR -- Guides, Brochures, Resources\Match Calculator Tool\"/>
    </mc:Choice>
  </mc:AlternateContent>
  <xr:revisionPtr revIDLastSave="0" documentId="13_ncr:1_{28136E10-399D-498C-BAE8-CE8896640792}" xr6:coauthVersionLast="36" xr6:coauthVersionMax="36" xr10:uidLastSave="{00000000-0000-0000-0000-000000000000}"/>
  <workbookProtection workbookAlgorithmName="SHA-512" workbookHashValue="g7AT9727og9RACVFqjIGDazeXJSoYWFJjD019ExPevK6qQow3Ro3RTW1Kzexs6tfZXZe/WVdMYWcT/sZ0/P9/Q==" workbookSaltValue="Zi3xosso49vv/AlsN2uNyA==" workbookSpinCount="100000" lockStructure="1"/>
  <bookViews>
    <workbookView xWindow="0" yWindow="0" windowWidth="17265" windowHeight="5295" xr2:uid="{9D64BB8A-83E6-4BE7-B553-0A817BDD15C3}"/>
  </bookViews>
  <sheets>
    <sheet name="Sheet1" sheetId="1" r:id="rId1"/>
  </sheets>
  <definedNames>
    <definedName name="NBUSAFundPd" localSheetId="0">Sheet1!$A$17:$A$23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I23" i="1"/>
  <c r="G19" i="1"/>
  <c r="I19" i="1" s="1"/>
  <c r="G20" i="1"/>
  <c r="I20" i="1" s="1"/>
  <c r="J20" i="1" s="1"/>
  <c r="G21" i="1"/>
  <c r="I21" i="1" s="1"/>
  <c r="G22" i="1"/>
  <c r="I22" i="1" s="1"/>
  <c r="J22" i="1" s="1"/>
  <c r="C22" i="1"/>
  <c r="C21" i="1"/>
  <c r="C20" i="1"/>
  <c r="C19" i="1"/>
  <c r="C18" i="1"/>
  <c r="C17" i="1"/>
  <c r="G18" i="1"/>
  <c r="I18" i="1" s="1"/>
  <c r="G17" i="1"/>
  <c r="G16" i="1"/>
  <c r="G15" i="1"/>
  <c r="G14" i="1"/>
  <c r="I14" i="1" s="1"/>
  <c r="J14" i="1" s="1"/>
  <c r="D12" i="1"/>
  <c r="K15" i="1" l="1"/>
  <c r="K16" i="1"/>
  <c r="K17" i="1"/>
  <c r="K18" i="1"/>
  <c r="K19" i="1"/>
  <c r="K20" i="1"/>
  <c r="L20" i="1" s="1"/>
  <c r="K21" i="1"/>
  <c r="K22" i="1"/>
  <c r="L22" i="1" s="1"/>
  <c r="K23" i="1"/>
  <c r="K14" i="1"/>
  <c r="N20" i="1"/>
  <c r="N23" i="1"/>
  <c r="N19" i="1"/>
  <c r="N22" i="1"/>
  <c r="N21" i="1"/>
  <c r="M20" i="1"/>
  <c r="J19" i="1"/>
  <c r="J21" i="1"/>
  <c r="J23" i="1"/>
  <c r="M22" i="1"/>
  <c r="D13" i="1"/>
  <c r="N15" i="1"/>
  <c r="N16" i="1"/>
  <c r="N17" i="1"/>
  <c r="N18" i="1"/>
  <c r="N14" i="1"/>
  <c r="J18" i="1"/>
  <c r="I17" i="1"/>
  <c r="I16" i="1"/>
  <c r="I15" i="1"/>
  <c r="L23" i="1" l="1"/>
  <c r="L21" i="1"/>
  <c r="O20" i="1"/>
  <c r="P20" i="1" s="1"/>
  <c r="Q20" i="1" s="1"/>
  <c r="R20" i="1" s="1"/>
  <c r="L19" i="1"/>
  <c r="O22" i="1"/>
  <c r="P22" i="1" s="1"/>
  <c r="Q22" i="1" s="1"/>
  <c r="R22" i="1" s="1"/>
  <c r="M19" i="1"/>
  <c r="O19" i="1" s="1"/>
  <c r="M21" i="1"/>
  <c r="O21" i="1" s="1"/>
  <c r="M23" i="1"/>
  <c r="O23" i="1" s="1"/>
  <c r="L18" i="1"/>
  <c r="M18" i="1"/>
  <c r="O18" i="1" s="1"/>
  <c r="J17" i="1"/>
  <c r="L17" i="1" s="1"/>
  <c r="J16" i="1"/>
  <c r="L16" i="1" s="1"/>
  <c r="J15" i="1"/>
  <c r="L15" i="1" s="1"/>
  <c r="M14" i="1"/>
  <c r="O14" i="1" s="1"/>
  <c r="L14" i="1"/>
  <c r="P23" i="1" l="1"/>
  <c r="Q23" i="1" s="1"/>
  <c r="R23" i="1" s="1"/>
  <c r="P21" i="1"/>
  <c r="Q21" i="1" s="1"/>
  <c r="R21" i="1" s="1"/>
  <c r="P19" i="1"/>
  <c r="Q19" i="1" s="1"/>
  <c r="R19" i="1" s="1"/>
  <c r="P14" i="1"/>
  <c r="Q14" i="1" s="1"/>
  <c r="R14" i="1" s="1"/>
  <c r="P18" i="1"/>
  <c r="Q18" i="1" s="1"/>
  <c r="R18" i="1" s="1"/>
  <c r="M16" i="1"/>
  <c r="O16" i="1" s="1"/>
  <c r="M17" i="1"/>
  <c r="O17" i="1" s="1"/>
  <c r="M15" i="1"/>
  <c r="O15" i="1" s="1"/>
  <c r="P17" i="1" l="1"/>
  <c r="Q17" i="1" s="1"/>
  <c r="R17" i="1" s="1"/>
  <c r="P16" i="1"/>
  <c r="Q16" i="1" s="1"/>
  <c r="R16" i="1" s="1"/>
  <c r="P15" i="1"/>
  <c r="Q15" i="1" s="1"/>
  <c r="R15" i="1" s="1"/>
</calcChain>
</file>

<file path=xl/sharedStrings.xml><?xml version="1.0" encoding="utf-8"?>
<sst xmlns="http://schemas.openxmlformats.org/spreadsheetml/2006/main" count="60" uniqueCount="57">
  <si>
    <t>Local Church NBUSA Fund Contrib %</t>
  </si>
  <si>
    <t>NBUSA Local Effort Match %</t>
  </si>
  <si>
    <t>&lt;50%</t>
  </si>
  <si>
    <t>NBUSA Max Match $</t>
  </si>
  <si>
    <t>Local Effort 403b contributions match % is</t>
  </si>
  <si>
    <t>LCM</t>
  </si>
  <si>
    <t>LC</t>
  </si>
  <si>
    <t>Local Church (LC) NBUSA Fund Contrib %</t>
  </si>
  <si>
    <t>Local Effort</t>
  </si>
  <si>
    <t>403b Contribs</t>
  </si>
  <si>
    <t>Total</t>
  </si>
  <si>
    <t>LCM Student Debt Pmts</t>
  </si>
  <si>
    <t>NBUSA Max Annual Match Contrib $</t>
  </si>
  <si>
    <t>Total Local Effort</t>
  </si>
  <si>
    <t>NBUSA Match</t>
  </si>
  <si>
    <t>Total 403b Contribs</t>
  </si>
  <si>
    <t>Initial Match (First $250)</t>
  </si>
  <si>
    <t>Local Eff</t>
  </si>
  <si>
    <t>Match %</t>
  </si>
  <si>
    <t>Match $</t>
  </si>
  <si>
    <t>Regular Match (Above First $250)</t>
  </si>
  <si>
    <t>Calc 1</t>
  </si>
  <si>
    <t>NBUSA Total</t>
  </si>
  <si>
    <t>Scenario 1</t>
  </si>
  <si>
    <t>Scenario 2</t>
  </si>
  <si>
    <t>Scenario 3</t>
  </si>
  <si>
    <t>Scenario 4</t>
  </si>
  <si>
    <t>Scenario 5</t>
  </si>
  <si>
    <t>Scenario 6</t>
  </si>
  <si>
    <t>Scenario 7</t>
  </si>
  <si>
    <t>Scenario 8</t>
  </si>
  <si>
    <t>Scenario 9</t>
  </si>
  <si>
    <t>Scenario 10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</si>
  <si>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</si>
  <si>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</si>
  <si>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</si>
  <si>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</si>
  <si>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</si>
  <si>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</si>
  <si>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</si>
  <si>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</si>
  <si>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</si>
  <si>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</si>
  <si>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</si>
  <si>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</si>
  <si>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</si>
  <si>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</si>
  <si>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M</t>
  </si>
  <si>
    <t>1.  Select your local church's NBUSA Fund Contribution % from the dropdown menu in the yellow shaded box in Column A</t>
  </si>
  <si>
    <t>Note:  Red shading in Column M indicates NBUSA Match was limited by policy maximum</t>
  </si>
  <si>
    <t>Column B      LCM = Local Church Minister</t>
  </si>
  <si>
    <t>Column C      LC = Local Church</t>
  </si>
  <si>
    <t>2.  The NBUSA Match % in Columns H and K will auto-populate based on your selection in 1 above</t>
  </si>
  <si>
    <t>2.  You can input up to 10 different local effort contribution Scenarios in Columns B, C and E</t>
  </si>
  <si>
    <t>Nazarene Benefits, Inc.</t>
  </si>
  <si>
    <t>Local Church Ministers NBUSA Match Planning Tool</t>
  </si>
  <si>
    <r>
      <t xml:space="preserve">3.  The </t>
    </r>
    <r>
      <rPr>
        <b/>
        <sz val="11"/>
        <color theme="1"/>
        <rFont val="Calibri"/>
        <family val="2"/>
        <scheme val="minor"/>
      </rPr>
      <t>NBUSA Total</t>
    </r>
    <r>
      <rPr>
        <sz val="11"/>
        <color theme="1"/>
        <rFont val="Calibri"/>
        <family val="2"/>
        <scheme val="minor"/>
      </rPr>
      <t xml:space="preserve"> match is auto-calculated in Column N; </t>
    </r>
    <r>
      <rPr>
        <b/>
        <sz val="11"/>
        <color theme="1"/>
        <rFont val="Calibri"/>
        <family val="2"/>
        <scheme val="minor"/>
      </rPr>
      <t xml:space="preserve">Total 403b Contribution </t>
    </r>
    <r>
      <rPr>
        <sz val="11"/>
        <color theme="1"/>
        <rFont val="Calibri"/>
        <family val="2"/>
        <scheme val="minor"/>
      </rPr>
      <t>amount (from LCM, LC, NBUSA) is shown in Column 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</si>
</sst>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CA6A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2" fontId="0" fillId="0" borderId="0" xfId="0" applyNumberFormat="1"/>
    <xf numFmtId="9" fontId="0" fillId="0" borderId="0" xfId="2" applyFont="1"/>
    <xf numFmtId="42" fontId="0" fillId="0" borderId="0" xfId="2" applyNumberFormat="1" applyFont="1"/>
    <xf numFmtId="0" fontId="0" fillId="0" borderId="0" xfId="0" applyAlignment="1">
      <alignment horizontal="left" indent="2"/>
    </xf>
    <xf numFmtId="0" fontId="2" fillId="6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 wrapText="1"/>
    </xf>
    <xf numFmtId="42" fontId="0" fillId="7" borderId="0" xfId="0" applyNumberFormat="1" applyFill="1" applyBorder="1"/>
    <xf numFmtId="42" fontId="0" fillId="7" borderId="15" xfId="0" applyNumberFormat="1" applyFill="1" applyBorder="1"/>
    <xf numFmtId="9" fontId="0" fillId="7" borderId="0" xfId="0" applyNumberFormat="1" applyFill="1" applyBorder="1" applyAlignment="1">
      <alignment horizontal="center"/>
    </xf>
    <xf numFmtId="42" fontId="0" fillId="7" borderId="0" xfId="0" applyNumberFormat="1" applyFill="1" applyBorder="1" applyAlignment="1">
      <alignment horizontal="center"/>
    </xf>
    <xf numFmtId="42" fontId="0" fillId="7" borderId="13" xfId="0" applyNumberFormat="1" applyFill="1" applyBorder="1"/>
    <xf numFmtId="9" fontId="0" fillId="7" borderId="15" xfId="0" applyNumberFormat="1" applyFill="1" applyBorder="1" applyAlignment="1">
      <alignment horizontal="center"/>
    </xf>
    <xf numFmtId="42" fontId="0" fillId="7" borderId="15" xfId="0" applyNumberFormat="1" applyFill="1" applyBorder="1" applyAlignment="1">
      <alignment horizontal="center"/>
    </xf>
    <xf numFmtId="42" fontId="0" fillId="7" borderId="16" xfId="0" applyNumberFormat="1" applyFill="1" applyBorder="1"/>
    <xf numFmtId="42" fontId="0" fillId="7" borderId="12" xfId="0" applyNumberFormat="1" applyFill="1" applyBorder="1"/>
    <xf numFmtId="42" fontId="0" fillId="7" borderId="14" xfId="0" applyNumberFormat="1" applyFill="1" applyBorder="1"/>
    <xf numFmtId="0" fontId="4" fillId="0" borderId="0" xfId="0" applyFont="1" applyAlignment="1">
      <alignment horizontal="center"/>
    </xf>
    <xf numFmtId="9" fontId="2" fillId="7" borderId="29" xfId="0" applyNumberFormat="1" applyFont="1" applyFill="1" applyBorder="1" applyAlignment="1">
      <alignment horizontal="center"/>
    </xf>
    <xf numFmtId="5" fontId="2" fillId="7" borderId="20" xfId="0" applyNumberFormat="1" applyFont="1" applyFill="1" applyBorder="1" applyAlignment="1">
      <alignment horizontal="center"/>
    </xf>
    <xf numFmtId="42" fontId="2" fillId="7" borderId="29" xfId="0" applyNumberFormat="1" applyFont="1" applyFill="1" applyBorder="1" applyAlignment="1">
      <alignment horizontal="right"/>
    </xf>
    <xf numFmtId="42" fontId="2" fillId="7" borderId="19" xfId="0" applyNumberFormat="1" applyFont="1" applyFill="1" applyBorder="1" applyAlignment="1">
      <alignment horizontal="right"/>
    </xf>
    <xf numFmtId="42" fontId="2" fillId="7" borderId="2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indent="1"/>
    </xf>
    <xf numFmtId="9" fontId="2" fillId="9" borderId="23" xfId="0" applyNumberFormat="1" applyFont="1" applyFill="1" applyBorder="1" applyAlignment="1">
      <alignment horizontal="center"/>
    </xf>
    <xf numFmtId="9" fontId="2" fillId="9" borderId="24" xfId="0" applyNumberFormat="1" applyFont="1" applyFill="1" applyBorder="1" applyAlignment="1">
      <alignment horizontal="center"/>
    </xf>
    <xf numFmtId="164" fontId="2" fillId="9" borderId="24" xfId="1" applyNumberFormat="1" applyFont="1" applyFill="1" applyBorder="1"/>
    <xf numFmtId="9" fontId="2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164" fontId="2" fillId="0" borderId="24" xfId="1" applyNumberFormat="1" applyFont="1" applyBorder="1"/>
    <xf numFmtId="9" fontId="2" fillId="9" borderId="21" xfId="0" applyNumberFormat="1" applyFont="1" applyFill="1" applyBorder="1" applyAlignment="1">
      <alignment horizontal="center"/>
    </xf>
    <xf numFmtId="9" fontId="2" fillId="9" borderId="22" xfId="0" applyNumberFormat="1" applyFont="1" applyFill="1" applyBorder="1" applyAlignment="1">
      <alignment horizontal="center"/>
    </xf>
    <xf numFmtId="164" fontId="2" fillId="9" borderId="22" xfId="1" applyNumberFormat="1" applyFont="1" applyFill="1" applyBorder="1"/>
    <xf numFmtId="42" fontId="0" fillId="0" borderId="12" xfId="0" applyNumberFormat="1" applyBorder="1" applyProtection="1">
      <protection locked="0"/>
    </xf>
    <xf numFmtId="42" fontId="0" fillId="0" borderId="0" xfId="0" applyNumberFormat="1" applyBorder="1" applyProtection="1">
      <protection locked="0"/>
    </xf>
    <xf numFmtId="42" fontId="0" fillId="0" borderId="14" xfId="0" applyNumberFormat="1" applyBorder="1" applyProtection="1">
      <protection locked="0"/>
    </xf>
    <xf numFmtId="42" fontId="0" fillId="0" borderId="15" xfId="0" applyNumberFormat="1" applyBorder="1" applyProtection="1">
      <protection locked="0"/>
    </xf>
    <xf numFmtId="9" fontId="2" fillId="2" borderId="28" xfId="0" applyNumberFormat="1" applyFont="1" applyFill="1" applyBorder="1" applyAlignment="1" applyProtection="1">
      <alignment horizontal="center"/>
      <protection locked="0"/>
    </xf>
    <xf numFmtId="42" fontId="0" fillId="7" borderId="29" xfId="0" applyNumberFormat="1" applyFill="1" applyBorder="1" applyAlignment="1">
      <alignment horizontal="center"/>
    </xf>
    <xf numFmtId="42" fontId="0" fillId="7" borderId="19" xfId="0" applyNumberFormat="1" applyFill="1" applyBorder="1" applyAlignment="1">
      <alignment horizontal="center"/>
    </xf>
    <xf numFmtId="42" fontId="0" fillId="7" borderId="20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42" fontId="0" fillId="10" borderId="0" xfId="0" applyNumberFormat="1" applyFont="1" applyFill="1" applyAlignment="1">
      <alignment horizontal="center"/>
    </xf>
    <xf numFmtId="0" fontId="2" fillId="5" borderId="17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30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8" borderId="23" xfId="0" applyFont="1" applyFill="1" applyBorder="1" applyAlignment="1">
      <alignment horizontal="center" wrapText="1"/>
    </xf>
    <xf numFmtId="0" fontId="3" fillId="8" borderId="25" xfId="0" applyFont="1" applyFill="1" applyBorder="1" applyAlignment="1">
      <alignment horizontal="center" wrapText="1"/>
    </xf>
    <xf numFmtId="0" fontId="3" fillId="8" borderId="26" xfId="0" applyFont="1" applyFill="1" applyBorder="1" applyAlignment="1">
      <alignment horizontal="center" wrapText="1"/>
    </xf>
    <xf numFmtId="0" fontId="3" fillId="8" borderId="24" xfId="0" applyFont="1" applyFill="1" applyBorder="1" applyAlignment="1">
      <alignment horizontal="center" wrapText="1"/>
    </xf>
    <xf numFmtId="0" fontId="3" fillId="8" borderId="0" xfId="0" applyFont="1" applyFill="1" applyBorder="1" applyAlignment="1">
      <alignment horizontal="center" wrapText="1"/>
    </xf>
    <xf numFmtId="0" fontId="3" fillId="8" borderId="27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A6A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527050</xdr:colOff>
      <xdr:row>0</xdr:row>
      <xdr:rowOff>254000</xdr:rowOff>
    </xdr:from>
    <xdr:to>
      <xdr:col>17</xdr:col>
      <xdr:colOff>400050</xdr:colOff>
      <xdr:row>4</xdr:row>
      <xdr:rowOff>10128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A4A922-CFB8-4F87-B3D0-00FA39D199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2" t="36071" r="7748" b="36182"/>
        <a:stretch/>
      </xdr:blipFill>
      <xdr:spPr>
        <a:xfrm>
          <a:off x="9893300" y="254000"/>
          <a:ext cx="2235200" cy="72767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0</xdr:row>
      <xdr:rowOff>254000</xdr:rowOff>
    </xdr:from>
    <xdr:to>
      <xdr:col>2</xdr:col>
      <xdr:colOff>603250</xdr:colOff>
      <xdr:row>4</xdr:row>
      <xdr:rowOff>10128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F735B9-05A8-4037-81A3-06D5759F1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2" t="36071" r="7748" b="36182"/>
        <a:stretch/>
      </xdr:blipFill>
      <xdr:spPr>
        <a:xfrm>
          <a:off x="158750" y="254000"/>
          <a:ext cx="2235200" cy="727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33FC-F848-47C6-9B1A-E872AB8FDD39}">
  <sheetPr>
    <pageSetUpPr fitToPage="1"/>
  </sheetPr>
  <dimension ref="A1:U30"/>
  <sheetViews>
    <sheetView tabSelected="1" workbookViewId="0">
      <selection activeCell="E15" sqref="E15"/>
    </sheetView>
  </sheetViews>
  <sheetFormatPr defaultRowHeight="15" x14ac:dyDescent="0.25"/>
  <cols>
    <col min="1" max="1" width="12.85546875" style="1" customWidth="1"/>
    <col min="2" max="3" width="12.85546875" customWidth="1"/>
    <col min="4" max="4" width="12.140625" style="2" customWidth="1"/>
    <col min="8" max="8" width="11.85546875" customWidth="1"/>
    <col min="9" max="9" width="10.85546875" customWidth="1"/>
    <col min="13" max="13" width="8.42578125" bestFit="1" customWidth="1"/>
    <col min="14" max="16" width="8.42578125" customWidth="1"/>
  </cols>
  <sheetData>
    <row r="1" spans="1:20" ht="24" customHeight="1" x14ac:dyDescent="0.35">
      <c r="A1" s="62" t="s">
        <v>54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0" ht="23.25" x14ac:dyDescent="0.35">
      <c r="A2" s="62" t="s">
        <v>55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0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5" spans="1:20" x14ac:dyDescent="0.25">
      <c r="D5" s="3" t="s">
        <v>48</v>
      </c>
    </row>
    <row r="6" spans="1:20" x14ac:dyDescent="0.25">
      <c r="D6" s="3" t="s">
        <v>52</v>
      </c>
    </row>
    <row r="7" spans="1:20" x14ac:dyDescent="0.25">
      <c r="D7" s="3" t="s">
        <v>53</v>
      </c>
    </row>
    <row r="8" spans="1:20" x14ac:dyDescent="0.25">
      <c r="D8" s="3" t="s">
        <v>56</v>
      </c>
    </row>
    <row r="9" spans="1:20" x14ac:dyDescent="0.25">
      <c r="D9" s="3"/>
    </row>
    <row r="10" spans="1:20" ht="19.5" thickBot="1" x14ac:dyDescent="0.35">
      <c r="D10" s="24" t="s">
        <v>33</v>
      </c>
      <c r="E10" s="24" t="s">
        <v>34</v>
      </c>
      <c r="F10" s="24" t="s">
        <v>35</v>
      </c>
      <c r="G10" s="24" t="s">
        <v>36</v>
      </c>
      <c r="H10" s="24" t="s">
        <v>37</v>
      </c>
      <c r="I10" s="24" t="s">
        <v>38</v>
      </c>
      <c r="J10" s="24" t="s">
        <v>39</v>
      </c>
      <c r="K10" s="24" t="s">
        <v>40</v>
      </c>
      <c r="L10" s="24" t="s">
        <v>41</v>
      </c>
      <c r="M10" s="24" t="s">
        <v>42</v>
      </c>
      <c r="N10" s="24" t="s">
        <v>43</v>
      </c>
      <c r="O10" s="24" t="s">
        <v>44</v>
      </c>
      <c r="P10" s="24" t="s">
        <v>47</v>
      </c>
      <c r="Q10" s="24" t="s">
        <v>45</v>
      </c>
      <c r="R10" s="24" t="s">
        <v>46</v>
      </c>
    </row>
    <row r="11" spans="1:20" ht="15.75" thickBot="1" x14ac:dyDescent="0.3">
      <c r="A11" s="7"/>
      <c r="C11" s="30" t="s">
        <v>7</v>
      </c>
      <c r="D11" s="44">
        <v>1</v>
      </c>
      <c r="E11" s="69" t="s">
        <v>8</v>
      </c>
      <c r="F11" s="70"/>
      <c r="G11" s="70"/>
      <c r="H11" s="70"/>
      <c r="I11" s="71"/>
      <c r="J11" s="53" t="s">
        <v>14</v>
      </c>
      <c r="K11" s="54"/>
      <c r="L11" s="54"/>
      <c r="M11" s="54"/>
      <c r="N11" s="54"/>
      <c r="O11" s="54"/>
      <c r="P11" s="54"/>
      <c r="Q11" s="55"/>
      <c r="R11" s="50" t="s">
        <v>15</v>
      </c>
    </row>
    <row r="12" spans="1:20" ht="14.45" customHeight="1" x14ac:dyDescent="0.25">
      <c r="A12" s="7"/>
      <c r="C12" s="30" t="s">
        <v>4</v>
      </c>
      <c r="D12" s="25">
        <f>IFERROR(VLOOKUP(D11,A17:B23,2,FALSE),"")</f>
        <v>0.5</v>
      </c>
      <c r="E12" s="56" t="s">
        <v>9</v>
      </c>
      <c r="F12" s="57"/>
      <c r="G12" s="58"/>
      <c r="H12" s="72" t="s">
        <v>11</v>
      </c>
      <c r="I12" s="73" t="s">
        <v>13</v>
      </c>
      <c r="J12" s="56" t="s">
        <v>16</v>
      </c>
      <c r="K12" s="57"/>
      <c r="L12" s="58"/>
      <c r="M12" s="59" t="s">
        <v>20</v>
      </c>
      <c r="N12" s="60"/>
      <c r="O12" s="60"/>
      <c r="P12" s="60"/>
      <c r="Q12" s="61" t="s">
        <v>22</v>
      </c>
      <c r="R12" s="51"/>
    </row>
    <row r="13" spans="1:20" ht="30.75" thickBot="1" x14ac:dyDescent="0.3">
      <c r="A13" s="7"/>
      <c r="C13" s="30" t="s">
        <v>12</v>
      </c>
      <c r="D13" s="26">
        <f>VLOOKUP(D12,B17:C23,2,FALSE)</f>
        <v>2500</v>
      </c>
      <c r="E13" s="8" t="s">
        <v>5</v>
      </c>
      <c r="F13" s="9" t="s">
        <v>6</v>
      </c>
      <c r="G13" s="9" t="s">
        <v>10</v>
      </c>
      <c r="H13" s="72"/>
      <c r="I13" s="74"/>
      <c r="J13" s="10" t="s">
        <v>17</v>
      </c>
      <c r="K13" s="11" t="s">
        <v>18</v>
      </c>
      <c r="L13" s="12" t="s">
        <v>19</v>
      </c>
      <c r="M13" s="12" t="s">
        <v>17</v>
      </c>
      <c r="N13" s="11" t="s">
        <v>18</v>
      </c>
      <c r="O13" s="11" t="s">
        <v>21</v>
      </c>
      <c r="P13" s="13" t="s">
        <v>19</v>
      </c>
      <c r="Q13" s="61"/>
      <c r="R13" s="52"/>
    </row>
    <row r="14" spans="1:20" x14ac:dyDescent="0.25">
      <c r="A14" s="63" t="s">
        <v>0</v>
      </c>
      <c r="B14" s="66" t="s">
        <v>1</v>
      </c>
      <c r="C14" s="66" t="s">
        <v>3</v>
      </c>
      <c r="D14" s="27" t="s">
        <v>23</v>
      </c>
      <c r="E14" s="40">
        <v>500</v>
      </c>
      <c r="F14" s="41">
        <v>500</v>
      </c>
      <c r="G14" s="14">
        <f>+E14+F14</f>
        <v>1000</v>
      </c>
      <c r="H14" s="41">
        <v>500</v>
      </c>
      <c r="I14" s="18">
        <f>+G14+H14</f>
        <v>1500</v>
      </c>
      <c r="J14" s="22">
        <f>IF(I14&gt;250,250,I14)</f>
        <v>250</v>
      </c>
      <c r="K14" s="16">
        <f>IF($D$12&lt;0.25,0,1)</f>
        <v>1</v>
      </c>
      <c r="L14" s="14">
        <f>+J14*K14</f>
        <v>250</v>
      </c>
      <c r="M14" s="14">
        <f>+I14-J14</f>
        <v>1250</v>
      </c>
      <c r="N14" s="16">
        <f>+$D$12</f>
        <v>0.5</v>
      </c>
      <c r="O14" s="17">
        <f>IF(M14&gt;0,M14*N14,0)</f>
        <v>625</v>
      </c>
      <c r="P14" s="14">
        <f>IF((O14+L14)&gt;$D$13,$D$13-L14,M14*N14)</f>
        <v>625</v>
      </c>
      <c r="Q14" s="18">
        <f>+L14+P14</f>
        <v>875</v>
      </c>
      <c r="R14" s="45">
        <f t="shared" ref="R14:R23" si="0">+G14+Q14</f>
        <v>1875</v>
      </c>
      <c r="S14" s="4"/>
      <c r="T14" s="6"/>
    </row>
    <row r="15" spans="1:20" x14ac:dyDescent="0.25">
      <c r="A15" s="64"/>
      <c r="B15" s="67"/>
      <c r="C15" s="67"/>
      <c r="D15" s="28" t="s">
        <v>24</v>
      </c>
      <c r="E15" s="40">
        <v>2500</v>
      </c>
      <c r="F15" s="41">
        <v>2500</v>
      </c>
      <c r="G15" s="14">
        <f>+E15+F15</f>
        <v>5000</v>
      </c>
      <c r="H15" s="41">
        <v>2500</v>
      </c>
      <c r="I15" s="18">
        <f>+G15+H15</f>
        <v>7500</v>
      </c>
      <c r="J15" s="22">
        <f>IF(I15&gt;250,250,I15)</f>
        <v>250</v>
      </c>
      <c r="K15" s="16">
        <f t="shared" ref="K15:K23" si="1">IF($D$12&lt;0.25,0,1)</f>
        <v>1</v>
      </c>
      <c r="L15" s="14">
        <f>+J15*K15</f>
        <v>250</v>
      </c>
      <c r="M15" s="14">
        <f>+I15-J15</f>
        <v>7250</v>
      </c>
      <c r="N15" s="16">
        <f>+$D$12</f>
        <v>0.5</v>
      </c>
      <c r="O15" s="17">
        <f>IF(M15&gt;0,M15*N15,0)</f>
        <v>3625</v>
      </c>
      <c r="P15" s="14">
        <f>IF((O15+L15)&gt;$D$13,$D$13-L15,M15*N15)</f>
        <v>2250</v>
      </c>
      <c r="Q15" s="18">
        <f>+L15+P15</f>
        <v>2500</v>
      </c>
      <c r="R15" s="46">
        <f t="shared" si="0"/>
        <v>7500</v>
      </c>
      <c r="S15" s="4"/>
      <c r="T15" s="5"/>
    </row>
    <row r="16" spans="1:20" x14ac:dyDescent="0.25">
      <c r="A16" s="65"/>
      <c r="B16" s="68"/>
      <c r="C16" s="68"/>
      <c r="D16" s="28" t="s">
        <v>25</v>
      </c>
      <c r="E16" s="40"/>
      <c r="F16" s="41"/>
      <c r="G16" s="14">
        <f>+E16+F16</f>
        <v>0</v>
      </c>
      <c r="H16" s="41"/>
      <c r="I16" s="18">
        <f>+G16+H16</f>
        <v>0</v>
      </c>
      <c r="J16" s="22">
        <f>IF(I16&gt;250,250,I16)</f>
        <v>0</v>
      </c>
      <c r="K16" s="16">
        <f t="shared" si="1"/>
        <v>1</v>
      </c>
      <c r="L16" s="14">
        <f>+J16*K16</f>
        <v>0</v>
      </c>
      <c r="M16" s="14">
        <f>+I16-J16</f>
        <v>0</v>
      </c>
      <c r="N16" s="16">
        <f>+$D$12</f>
        <v>0.5</v>
      </c>
      <c r="O16" s="17">
        <f>IF(M16&gt;0,M16*N16,0)</f>
        <v>0</v>
      </c>
      <c r="P16" s="14">
        <f>IF((O16+L16)&gt;$D$13,$D$13-L16,M16*N16)</f>
        <v>0</v>
      </c>
      <c r="Q16" s="18">
        <f>+L16+P16</f>
        <v>0</v>
      </c>
      <c r="R16" s="46">
        <f t="shared" si="0"/>
        <v>0</v>
      </c>
      <c r="S16" s="4"/>
      <c r="T16" s="6"/>
    </row>
    <row r="17" spans="1:21" x14ac:dyDescent="0.25">
      <c r="A17" s="31">
        <v>1</v>
      </c>
      <c r="B17" s="32">
        <v>0.5</v>
      </c>
      <c r="C17" s="33">
        <f t="shared" ref="C17:C22" si="2">5000*B17</f>
        <v>2500</v>
      </c>
      <c r="D17" s="28" t="s">
        <v>26</v>
      </c>
      <c r="E17" s="40"/>
      <c r="F17" s="41"/>
      <c r="G17" s="14">
        <f>+E17+F17</f>
        <v>0</v>
      </c>
      <c r="H17" s="41"/>
      <c r="I17" s="18">
        <f>+G17+H17</f>
        <v>0</v>
      </c>
      <c r="J17" s="22">
        <f>IF(I17&gt;250,250,I17)</f>
        <v>0</v>
      </c>
      <c r="K17" s="16">
        <f t="shared" si="1"/>
        <v>1</v>
      </c>
      <c r="L17" s="14">
        <f>+J17*K17</f>
        <v>0</v>
      </c>
      <c r="M17" s="14">
        <f>+I17-J17</f>
        <v>0</v>
      </c>
      <c r="N17" s="16">
        <f>+$D$12</f>
        <v>0.5</v>
      </c>
      <c r="O17" s="17">
        <f>IF(M17&gt;0,M17*N17,0)</f>
        <v>0</v>
      </c>
      <c r="P17" s="14">
        <f>IF((O17+L17)&gt;$D$13,$D$13-L17,M17*N17)</f>
        <v>0</v>
      </c>
      <c r="Q17" s="18">
        <f>+L17+P17</f>
        <v>0</v>
      </c>
      <c r="R17" s="46">
        <f t="shared" si="0"/>
        <v>0</v>
      </c>
      <c r="S17" s="4"/>
      <c r="T17" s="6"/>
      <c r="U17" s="4"/>
    </row>
    <row r="18" spans="1:21" x14ac:dyDescent="0.25">
      <c r="A18" s="34">
        <v>0.9</v>
      </c>
      <c r="B18" s="35">
        <v>0.45</v>
      </c>
      <c r="C18" s="36">
        <f t="shared" si="2"/>
        <v>2250</v>
      </c>
      <c r="D18" s="28" t="s">
        <v>27</v>
      </c>
      <c r="E18" s="40"/>
      <c r="F18" s="41"/>
      <c r="G18" s="14">
        <f>+E18+F18</f>
        <v>0</v>
      </c>
      <c r="H18" s="41"/>
      <c r="I18" s="18">
        <f>+G18+H18</f>
        <v>0</v>
      </c>
      <c r="J18" s="22">
        <f>IF(I18&gt;250,250,I18)</f>
        <v>0</v>
      </c>
      <c r="K18" s="16">
        <f t="shared" si="1"/>
        <v>1</v>
      </c>
      <c r="L18" s="14">
        <f>+J18*K18</f>
        <v>0</v>
      </c>
      <c r="M18" s="14">
        <f>+I18-J18</f>
        <v>0</v>
      </c>
      <c r="N18" s="16">
        <f>+$D$12</f>
        <v>0.5</v>
      </c>
      <c r="O18" s="17">
        <f>IF(M18&gt;0,M18*N18,0)</f>
        <v>0</v>
      </c>
      <c r="P18" s="14">
        <f>IF((O18+L18)&gt;$D$13,$D$13-L18,M18*N18)</f>
        <v>0</v>
      </c>
      <c r="Q18" s="18">
        <f>+L18+P18</f>
        <v>0</v>
      </c>
      <c r="R18" s="46">
        <f t="shared" si="0"/>
        <v>0</v>
      </c>
      <c r="S18" s="4"/>
      <c r="T18" s="4"/>
      <c r="U18" s="6"/>
    </row>
    <row r="19" spans="1:21" x14ac:dyDescent="0.25">
      <c r="A19" s="31">
        <v>0.8</v>
      </c>
      <c r="B19" s="32">
        <v>0.4</v>
      </c>
      <c r="C19" s="33">
        <f t="shared" si="2"/>
        <v>2000</v>
      </c>
      <c r="D19" s="28" t="s">
        <v>28</v>
      </c>
      <c r="E19" s="40"/>
      <c r="F19" s="41"/>
      <c r="G19" s="14">
        <f t="shared" ref="G19:G22" si="3">+E19+F19</f>
        <v>0</v>
      </c>
      <c r="H19" s="41"/>
      <c r="I19" s="18">
        <f t="shared" ref="I19:I22" si="4">+G19+H19</f>
        <v>0</v>
      </c>
      <c r="J19" s="22">
        <f t="shared" ref="J19:J22" si="5">IF(I19&gt;250,250,I19)</f>
        <v>0</v>
      </c>
      <c r="K19" s="16">
        <f t="shared" si="1"/>
        <v>1</v>
      </c>
      <c r="L19" s="14">
        <f t="shared" ref="L19:L22" si="6">+J19*K19</f>
        <v>0</v>
      </c>
      <c r="M19" s="14">
        <f t="shared" ref="M19:M22" si="7">+I19-J19</f>
        <v>0</v>
      </c>
      <c r="N19" s="16">
        <f t="shared" ref="N19:N22" si="8">+$D$12</f>
        <v>0.5</v>
      </c>
      <c r="O19" s="17">
        <f t="shared" ref="O19:O22" si="9">IF(M19&gt;0,M19*N19,0)</f>
        <v>0</v>
      </c>
      <c r="P19" s="14">
        <f t="shared" ref="P19:P22" si="10">IF((O19+L19)&gt;$D$13,$D$13-L19,M19*N19)</f>
        <v>0</v>
      </c>
      <c r="Q19" s="18">
        <f t="shared" ref="Q19:Q22" si="11">+L19+P19</f>
        <v>0</v>
      </c>
      <c r="R19" s="46">
        <f t="shared" si="0"/>
        <v>0</v>
      </c>
      <c r="S19" s="4"/>
      <c r="T19" s="4"/>
      <c r="U19" s="6"/>
    </row>
    <row r="20" spans="1:21" x14ac:dyDescent="0.25">
      <c r="A20" s="34">
        <v>0.7</v>
      </c>
      <c r="B20" s="35">
        <v>0.35</v>
      </c>
      <c r="C20" s="36">
        <f t="shared" si="2"/>
        <v>1750</v>
      </c>
      <c r="D20" s="28" t="s">
        <v>29</v>
      </c>
      <c r="E20" s="40"/>
      <c r="F20" s="41"/>
      <c r="G20" s="14">
        <f t="shared" si="3"/>
        <v>0</v>
      </c>
      <c r="H20" s="41"/>
      <c r="I20" s="18">
        <f t="shared" si="4"/>
        <v>0</v>
      </c>
      <c r="J20" s="22">
        <f t="shared" si="5"/>
        <v>0</v>
      </c>
      <c r="K20" s="16">
        <f t="shared" si="1"/>
        <v>1</v>
      </c>
      <c r="L20" s="14">
        <f t="shared" si="6"/>
        <v>0</v>
      </c>
      <c r="M20" s="14">
        <f t="shared" si="7"/>
        <v>0</v>
      </c>
      <c r="N20" s="16">
        <f t="shared" si="8"/>
        <v>0.5</v>
      </c>
      <c r="O20" s="17">
        <f t="shared" si="9"/>
        <v>0</v>
      </c>
      <c r="P20" s="14">
        <f t="shared" si="10"/>
        <v>0</v>
      </c>
      <c r="Q20" s="18">
        <f t="shared" si="11"/>
        <v>0</v>
      </c>
      <c r="R20" s="46">
        <f t="shared" si="0"/>
        <v>0</v>
      </c>
      <c r="S20" s="4"/>
      <c r="T20" s="4"/>
      <c r="U20" s="6"/>
    </row>
    <row r="21" spans="1:21" x14ac:dyDescent="0.25">
      <c r="A21" s="31">
        <v>0.6</v>
      </c>
      <c r="B21" s="32">
        <v>0.3</v>
      </c>
      <c r="C21" s="33">
        <f t="shared" si="2"/>
        <v>1500</v>
      </c>
      <c r="D21" s="28" t="s">
        <v>30</v>
      </c>
      <c r="E21" s="40"/>
      <c r="F21" s="41"/>
      <c r="G21" s="14">
        <f t="shared" si="3"/>
        <v>0</v>
      </c>
      <c r="H21" s="41"/>
      <c r="I21" s="18">
        <f t="shared" si="4"/>
        <v>0</v>
      </c>
      <c r="J21" s="22">
        <f t="shared" si="5"/>
        <v>0</v>
      </c>
      <c r="K21" s="16">
        <f t="shared" si="1"/>
        <v>1</v>
      </c>
      <c r="L21" s="14">
        <f t="shared" si="6"/>
        <v>0</v>
      </c>
      <c r="M21" s="14">
        <f t="shared" si="7"/>
        <v>0</v>
      </c>
      <c r="N21" s="16">
        <f t="shared" si="8"/>
        <v>0.5</v>
      </c>
      <c r="O21" s="17">
        <f t="shared" si="9"/>
        <v>0</v>
      </c>
      <c r="P21" s="14">
        <f t="shared" si="10"/>
        <v>0</v>
      </c>
      <c r="Q21" s="18">
        <f t="shared" si="11"/>
        <v>0</v>
      </c>
      <c r="R21" s="46">
        <f t="shared" si="0"/>
        <v>0</v>
      </c>
      <c r="S21" s="4"/>
      <c r="T21" s="4"/>
      <c r="U21" s="6"/>
    </row>
    <row r="22" spans="1:21" x14ac:dyDescent="0.25">
      <c r="A22" s="34">
        <v>0.5</v>
      </c>
      <c r="B22" s="35">
        <v>0.25</v>
      </c>
      <c r="C22" s="36">
        <f t="shared" si="2"/>
        <v>1250</v>
      </c>
      <c r="D22" s="28" t="s">
        <v>31</v>
      </c>
      <c r="E22" s="40"/>
      <c r="F22" s="41"/>
      <c r="G22" s="14">
        <f t="shared" si="3"/>
        <v>0</v>
      </c>
      <c r="H22" s="41"/>
      <c r="I22" s="18">
        <f t="shared" si="4"/>
        <v>0</v>
      </c>
      <c r="J22" s="22">
        <f t="shared" si="5"/>
        <v>0</v>
      </c>
      <c r="K22" s="16">
        <f t="shared" si="1"/>
        <v>1</v>
      </c>
      <c r="L22" s="14">
        <f t="shared" si="6"/>
        <v>0</v>
      </c>
      <c r="M22" s="14">
        <f t="shared" si="7"/>
        <v>0</v>
      </c>
      <c r="N22" s="16">
        <f t="shared" si="8"/>
        <v>0.5</v>
      </c>
      <c r="O22" s="17">
        <f t="shared" si="9"/>
        <v>0</v>
      </c>
      <c r="P22" s="14">
        <f t="shared" si="10"/>
        <v>0</v>
      </c>
      <c r="Q22" s="18">
        <f t="shared" si="11"/>
        <v>0</v>
      </c>
      <c r="R22" s="46">
        <f t="shared" si="0"/>
        <v>0</v>
      </c>
      <c r="S22" s="4"/>
      <c r="T22" s="4"/>
      <c r="U22" s="6"/>
    </row>
    <row r="23" spans="1:21" ht="15.75" thickBot="1" x14ac:dyDescent="0.3">
      <c r="A23" s="37" t="s">
        <v>2</v>
      </c>
      <c r="B23" s="38">
        <v>0</v>
      </c>
      <c r="C23" s="39">
        <v>0</v>
      </c>
      <c r="D23" s="29" t="s">
        <v>32</v>
      </c>
      <c r="E23" s="42"/>
      <c r="F23" s="43"/>
      <c r="G23" s="15">
        <f>+E23+F23</f>
        <v>0</v>
      </c>
      <c r="H23" s="43"/>
      <c r="I23" s="21">
        <f>+G23+H23</f>
        <v>0</v>
      </c>
      <c r="J23" s="23">
        <f>IF(I23&gt;250,250,I23)</f>
        <v>0</v>
      </c>
      <c r="K23" s="19">
        <f t="shared" si="1"/>
        <v>1</v>
      </c>
      <c r="L23" s="15">
        <f>+J23*K23</f>
        <v>0</v>
      </c>
      <c r="M23" s="15">
        <f>+I23-J23</f>
        <v>0</v>
      </c>
      <c r="N23" s="19">
        <f>+$D$12</f>
        <v>0.5</v>
      </c>
      <c r="O23" s="20">
        <f>IF(M23&gt;0,M23*N23,0)</f>
        <v>0</v>
      </c>
      <c r="P23" s="15">
        <f>IF((O23+L23)&gt;$D$13,$D$13-L23,M23*N23)</f>
        <v>0</v>
      </c>
      <c r="Q23" s="21">
        <f>+L23+P23</f>
        <v>0</v>
      </c>
      <c r="R23" s="47">
        <f t="shared" si="0"/>
        <v>0</v>
      </c>
      <c r="S23" s="4"/>
      <c r="U23" s="6"/>
    </row>
    <row r="24" spans="1:21" x14ac:dyDescent="0.25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1" x14ac:dyDescent="0.25">
      <c r="E25" s="4" t="s">
        <v>50</v>
      </c>
      <c r="F25" s="4"/>
      <c r="G25" s="4"/>
      <c r="H25" s="4"/>
      <c r="I25" s="4"/>
      <c r="J25" s="49" t="s">
        <v>49</v>
      </c>
      <c r="K25" s="49"/>
      <c r="L25" s="49"/>
      <c r="M25" s="49"/>
      <c r="N25" s="49"/>
      <c r="O25" s="49"/>
      <c r="P25" s="49"/>
      <c r="Q25" s="49"/>
      <c r="R25" s="49"/>
      <c r="S25" s="4"/>
    </row>
    <row r="26" spans="1:21" x14ac:dyDescent="0.25">
      <c r="E26" s="4" t="s">
        <v>51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1" x14ac:dyDescent="0.25"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1" x14ac:dyDescent="0.2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21" x14ac:dyDescent="0.25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1" x14ac:dyDescent="0.25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sheetProtection algorithmName="SHA-512" hashValue="aXOwnKL5C1aqSuXq0fpH1z7UO/Bl0IH60w+2esRq4Bq1Ptfhwq/tGxqD5yU32x05nCOmeugnqfBCobUIVhVY+w==" saltValue="MF931ghJyvhjfPkczHjJBg==" spinCount="100000" sheet="1" objects="1" scenarios="1"/>
  <mergeCells count="15">
    <mergeCell ref="A1:R1"/>
    <mergeCell ref="A2:R2"/>
    <mergeCell ref="A14:A16"/>
    <mergeCell ref="B14:B16"/>
    <mergeCell ref="C14:C16"/>
    <mergeCell ref="E11:I11"/>
    <mergeCell ref="E12:G12"/>
    <mergeCell ref="H12:H13"/>
    <mergeCell ref="I12:I13"/>
    <mergeCell ref="J25:R25"/>
    <mergeCell ref="R11:R13"/>
    <mergeCell ref="J11:Q11"/>
    <mergeCell ref="J12:L12"/>
    <mergeCell ref="M12:P12"/>
    <mergeCell ref="Q12:Q13"/>
  </mergeCells>
  <conditionalFormatting sqref="Q14:Q23">
    <cfRule type="cellIs" dxfId="10" priority="12" operator="greaterThan">
      <formula>$D$13</formula>
    </cfRule>
  </conditionalFormatting>
  <conditionalFormatting sqref="P23">
    <cfRule type="cellIs" dxfId="9" priority="10" operator="lessThan">
      <formula>$O$23</formula>
    </cfRule>
  </conditionalFormatting>
  <conditionalFormatting sqref="P22">
    <cfRule type="cellIs" dxfId="8" priority="9" operator="lessThan">
      <formula>$O$22</formula>
    </cfRule>
  </conditionalFormatting>
  <conditionalFormatting sqref="P21">
    <cfRule type="cellIs" dxfId="7" priority="8" operator="lessThan">
      <formula>$O$21</formula>
    </cfRule>
  </conditionalFormatting>
  <conditionalFormatting sqref="P20">
    <cfRule type="cellIs" dxfId="6" priority="7" operator="lessThan">
      <formula>$O$20</formula>
    </cfRule>
  </conditionalFormatting>
  <conditionalFormatting sqref="P19">
    <cfRule type="cellIs" dxfId="5" priority="6" operator="lessThan">
      <formula>$O$19</formula>
    </cfRule>
  </conditionalFormatting>
  <conditionalFormatting sqref="P18">
    <cfRule type="cellIs" dxfId="4" priority="5" operator="lessThan">
      <formula>$O$18</formula>
    </cfRule>
  </conditionalFormatting>
  <conditionalFormatting sqref="P17">
    <cfRule type="cellIs" dxfId="3" priority="4" operator="lessThan">
      <formula>$O$17</formula>
    </cfRule>
  </conditionalFormatting>
  <conditionalFormatting sqref="P16">
    <cfRule type="cellIs" dxfId="2" priority="3" operator="lessThan">
      <formula>$O$16</formula>
    </cfRule>
  </conditionalFormatting>
  <conditionalFormatting sqref="P15">
    <cfRule type="cellIs" dxfId="1" priority="2" operator="lessThan">
      <formula>$O$15</formula>
    </cfRule>
  </conditionalFormatting>
  <conditionalFormatting sqref="P14">
    <cfRule type="cellIs" dxfId="0" priority="1" operator="lessThan">
      <formula>$O$14</formula>
    </cfRule>
  </conditionalFormatting>
  <dataValidations disablePrompts="1" count="1">
    <dataValidation type="list" allowBlank="1" showInputMessage="1" showErrorMessage="1" sqref="D11" xr:uid="{54974064-2908-45B5-A295-FAE55805CCB0}">
      <formula1>NBUSAFundPd</formula1>
    </dataValidation>
  </dataValidations>
  <printOptions horizontalCentered="1"/>
  <pageMargins left="0.45" right="0.45" top="0.5" bottom="0.5" header="0.3" footer="0.3"/>
  <pageSetup scale="73" orientation="landscape" r:id="rId1"/>
  <headerFooter>
    <oddFooter>&amp;L&amp;6&amp;Z&amp;F&amp;RVersion Update  2/18/26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Sheet1!NBUSAFundPd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Gilmore</dc:creator>
  <cp:lastModifiedBy>Michael Thomasson</cp:lastModifiedBy>
  <cp:lastPrinted>2026-02-18T18:51:18Z</cp:lastPrinted>
  <dcterms:created xsi:type="dcterms:W3CDTF">2026-01-28T15:44:27Z</dcterms:created>
  <dcterms:modified xsi:type="dcterms:W3CDTF">2026-03-06T00:33:49Z</dcterms:modified>
</cp:coreProperties>
</file>